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8955" windowHeight="8145" activeTab="1"/>
  </bookViews>
  <sheets>
    <sheet name="Men Doubles" sheetId="1" r:id="rId1"/>
    <sheet name="Women Doubles" sheetId="2" r:id="rId2"/>
    <sheet name="Doubles Co-ed" sheetId="5" r:id="rId3"/>
    <sheet name="Triples Co-ed" sheetId="3" r:id="rId4"/>
  </sheets>
  <calcPr calcId="125725"/>
</workbook>
</file>

<file path=xl/calcChain.xml><?xml version="1.0" encoding="utf-8"?>
<calcChain xmlns="http://schemas.openxmlformats.org/spreadsheetml/2006/main">
  <c r="F11" i="2"/>
  <c r="F8"/>
  <c r="F12"/>
  <c r="F6"/>
  <c r="F9"/>
  <c r="F10"/>
  <c r="F7"/>
  <c r="F5"/>
  <c r="D11"/>
  <c r="C11"/>
  <c r="D9"/>
  <c r="C9"/>
  <c r="D12"/>
  <c r="C12"/>
  <c r="D7"/>
  <c r="C7"/>
  <c r="D10"/>
  <c r="C10"/>
  <c r="D8"/>
  <c r="C8"/>
  <c r="D5"/>
  <c r="C5"/>
  <c r="D6"/>
  <c r="C6"/>
  <c r="F5" i="1"/>
  <c r="F8"/>
  <c r="F6"/>
  <c r="F7"/>
  <c r="C7"/>
  <c r="D5"/>
  <c r="C5"/>
  <c r="D6"/>
  <c r="C6"/>
  <c r="D7"/>
  <c r="D8"/>
  <c r="C8"/>
  <c r="F6" i="5"/>
  <c r="F12"/>
  <c r="F8"/>
  <c r="F9"/>
  <c r="F11"/>
  <c r="F5"/>
  <c r="F10"/>
  <c r="F7"/>
  <c r="D6"/>
  <c r="C6"/>
  <c r="C11"/>
  <c r="E11"/>
  <c r="D12"/>
  <c r="C12"/>
  <c r="D8"/>
  <c r="C8"/>
  <c r="D9"/>
  <c r="C9"/>
  <c r="D11"/>
  <c r="C5"/>
  <c r="D10"/>
  <c r="C10"/>
  <c r="D7"/>
  <c r="C7"/>
  <c r="E12" i="2"/>
  <c r="D5" i="5"/>
  <c r="E11" i="2"/>
  <c r="D9" i="3"/>
  <c r="C9"/>
  <c r="D12"/>
  <c r="C12"/>
  <c r="D8"/>
  <c r="C8"/>
  <c r="D11"/>
  <c r="C11"/>
  <c r="D10"/>
  <c r="C10"/>
  <c r="D5"/>
  <c r="C5"/>
  <c r="D6"/>
  <c r="C6"/>
  <c r="D7"/>
  <c r="C7"/>
  <c r="F9"/>
  <c r="F12"/>
  <c r="F8"/>
  <c r="F11"/>
  <c r="F10"/>
  <c r="F5"/>
  <c r="F6"/>
  <c r="F7"/>
  <c r="E8" i="5"/>
  <c r="E7"/>
  <c r="E6" i="2"/>
  <c r="E5" i="1"/>
  <c r="E9" i="3"/>
  <c r="E12"/>
  <c r="E8"/>
  <c r="E11"/>
  <c r="E10"/>
  <c r="E5"/>
  <c r="E6"/>
  <c r="E7"/>
  <c r="E10" i="2"/>
  <c r="E9"/>
  <c r="E5"/>
  <c r="E6" i="5"/>
  <c r="E10"/>
  <c r="E12"/>
  <c r="E9"/>
  <c r="E5"/>
  <c r="E7" i="2"/>
  <c r="E8"/>
  <c r="E7" i="1"/>
  <c r="E8"/>
  <c r="E6"/>
</calcChain>
</file>

<file path=xl/sharedStrings.xml><?xml version="1.0" encoding="utf-8"?>
<sst xmlns="http://schemas.openxmlformats.org/spreadsheetml/2006/main" count="420" uniqueCount="147">
  <si>
    <t>Standings</t>
  </si>
  <si>
    <t>Team Name</t>
  </si>
  <si>
    <t>1-1</t>
  </si>
  <si>
    <t>Points For</t>
  </si>
  <si>
    <t>Percentage</t>
  </si>
  <si>
    <t>Wins</t>
  </si>
  <si>
    <t>Losses</t>
  </si>
  <si>
    <t>Record Breakdown</t>
  </si>
  <si>
    <t>Double Trouble</t>
  </si>
  <si>
    <t>X</t>
  </si>
  <si>
    <t>Womens Doubles Standings</t>
  </si>
  <si>
    <t>Triples Co-ed Standings</t>
  </si>
  <si>
    <t>Doubles Co-ed Standings</t>
  </si>
  <si>
    <t>x</t>
  </si>
  <si>
    <t>Some Spike It Hot</t>
  </si>
  <si>
    <t>3-0</t>
  </si>
  <si>
    <t>0-3</t>
  </si>
  <si>
    <t>2-1</t>
  </si>
  <si>
    <t>1-2</t>
  </si>
  <si>
    <t>1-3</t>
  </si>
  <si>
    <t>3-1</t>
  </si>
  <si>
    <t>Men's Doubles</t>
  </si>
  <si>
    <t>Bill McCandless</t>
  </si>
  <si>
    <t>Scott Rosengren</t>
  </si>
  <si>
    <t>Yay Tall</t>
  </si>
  <si>
    <t>Jesse Selman</t>
  </si>
  <si>
    <t>Eric Hayden</t>
  </si>
  <si>
    <t>The Has Beens</t>
  </si>
  <si>
    <t>Ben Pierce</t>
  </si>
  <si>
    <t>Craig Ruccti</t>
  </si>
  <si>
    <t>Modesty</t>
  </si>
  <si>
    <t>Kyle Demeester</t>
  </si>
  <si>
    <t>Van Ly</t>
  </si>
  <si>
    <t>Foreign Attack</t>
  </si>
  <si>
    <t>Men Doubles Standings</t>
  </si>
  <si>
    <t>Women's Doubles</t>
  </si>
  <si>
    <t>Kristin Kennedy</t>
  </si>
  <si>
    <t>Melanie Klinner</t>
  </si>
  <si>
    <t>Yuki Kurihara</t>
  </si>
  <si>
    <t>Jessie Ruple</t>
  </si>
  <si>
    <t>Blurple</t>
  </si>
  <si>
    <t>Natasha</t>
  </si>
  <si>
    <t>Amanda Smith</t>
  </si>
  <si>
    <t>T &amp; A</t>
  </si>
  <si>
    <t>Kayla</t>
  </si>
  <si>
    <t>Savannah</t>
  </si>
  <si>
    <t>Kiss My Ace</t>
  </si>
  <si>
    <t>Kelly Ingram</t>
  </si>
  <si>
    <t>Lydia Clarke</t>
  </si>
  <si>
    <t>I'd Hit That</t>
  </si>
  <si>
    <t>Beverly McMichael</t>
  </si>
  <si>
    <t>Stacy Pickens</t>
  </si>
  <si>
    <t>OCC</t>
  </si>
  <si>
    <t>Haley Hop</t>
  </si>
  <si>
    <t>Erika Vuckovic</t>
  </si>
  <si>
    <t>Plastics</t>
  </si>
  <si>
    <t>Sara Tillery</t>
  </si>
  <si>
    <t>Sam Espy</t>
  </si>
  <si>
    <t>Sets on the Beach</t>
  </si>
  <si>
    <t>Doubles Co-ed</t>
  </si>
  <si>
    <t>James Colebaugh</t>
  </si>
  <si>
    <t>Booyah!</t>
  </si>
  <si>
    <t>Omar Sayyad</t>
  </si>
  <si>
    <t>Trix are for kids</t>
  </si>
  <si>
    <t>Paul Wessling</t>
  </si>
  <si>
    <t>Set Me Maybe</t>
  </si>
  <si>
    <t>Kevin Hamilton</t>
  </si>
  <si>
    <t>Stephanie Cleveland</t>
  </si>
  <si>
    <t>Fiery Weasels</t>
  </si>
  <si>
    <t>Savannah Pegg</t>
  </si>
  <si>
    <t>Stuart Casey</t>
  </si>
  <si>
    <t>Devon Sanders</t>
  </si>
  <si>
    <t>Y&amp;D</t>
  </si>
  <si>
    <t>Ben/Amanda</t>
  </si>
  <si>
    <t>Gentry Lowe</t>
  </si>
  <si>
    <t>Sand BAG</t>
  </si>
  <si>
    <t>Kevin Counselman</t>
  </si>
  <si>
    <t>Melody Hinkle</t>
  </si>
  <si>
    <t>The DMV</t>
  </si>
  <si>
    <t>Steve Gotsch</t>
  </si>
  <si>
    <t>Sand Box Mentality</t>
  </si>
  <si>
    <t>Brett Frazier</t>
  </si>
  <si>
    <t>Sand Diggers</t>
  </si>
  <si>
    <t>Joanna Graham</t>
  </si>
  <si>
    <t>Sand Sliders</t>
  </si>
  <si>
    <t>Charles Kimmery</t>
  </si>
  <si>
    <t>Mission Unblockable</t>
  </si>
  <si>
    <t>Terry Steelman</t>
  </si>
  <si>
    <t>Team #</t>
  </si>
  <si>
    <t>Captain</t>
  </si>
  <si>
    <t>0-2</t>
  </si>
  <si>
    <t>2-0</t>
  </si>
  <si>
    <t>Sand Dume</t>
  </si>
  <si>
    <t>make up games due to team #8 drop out - wk 1 teams 7 vs 8</t>
  </si>
  <si>
    <t>make up games due to team #8 drop out - wk 1 teams 6 vs 8</t>
  </si>
  <si>
    <t>Natasha Townsend</t>
  </si>
  <si>
    <t>(1) Sand BAG</t>
  </si>
  <si>
    <t>(2) Some Spike It Hot</t>
  </si>
  <si>
    <t>(3) The DMV</t>
  </si>
  <si>
    <t>(4) Sand Box Mentality</t>
  </si>
  <si>
    <t>(5) Sand Diggers</t>
  </si>
  <si>
    <t>(6) Sand Sliders</t>
  </si>
  <si>
    <t>(7) Mission Unblockable</t>
  </si>
  <si>
    <t>(8) Sand Dume</t>
  </si>
  <si>
    <t>(1) Yay Tall</t>
  </si>
  <si>
    <t>(2) The Has Beens</t>
  </si>
  <si>
    <t>(3) Modesty</t>
  </si>
  <si>
    <t>(4) Foreign Attack</t>
  </si>
  <si>
    <t>(1) Double Trouble</t>
  </si>
  <si>
    <t>(2) Blurple</t>
  </si>
  <si>
    <t>(3) T&amp;A</t>
  </si>
  <si>
    <t>(4) Kiss My Ace</t>
  </si>
  <si>
    <t>(5) I'd Hit That</t>
  </si>
  <si>
    <t>(6) OCC</t>
  </si>
  <si>
    <t>(7) Plastics</t>
  </si>
  <si>
    <t>(8) Sets on the Beach</t>
  </si>
  <si>
    <t>(1) Booyah!</t>
  </si>
  <si>
    <t>(2) Trix are for Kids</t>
  </si>
  <si>
    <t>(3) Set Me Maybe</t>
  </si>
  <si>
    <t>(4) Fiery Weasels</t>
  </si>
  <si>
    <t>(5) Sets on the Beach</t>
  </si>
  <si>
    <t>(6) I'd Hit That</t>
  </si>
  <si>
    <t>(7) Ben/Amanda</t>
  </si>
  <si>
    <t>(8) Y&amp;D</t>
  </si>
  <si>
    <t>3-3</t>
  </si>
  <si>
    <t>2-2</t>
  </si>
  <si>
    <t>4-0</t>
  </si>
  <si>
    <t>0-4</t>
  </si>
  <si>
    <t>week 2 rain make up 2 vs 6 game #2 (no start) - moved to end of season 7:00 match</t>
  </si>
  <si>
    <t>week 2 rain make up 1 vs 5 game #1 (11-9 team 1) - moved to end of season 7:00 match</t>
  </si>
  <si>
    <t>week 2 rain make up 1 vs 5 game #2 (no start) - moved to end of season 7:00 match</t>
  </si>
  <si>
    <t>week 2 rain make up 4 vs 8 game #1 (15-11 team 4) - moved to end of season 7:00 match</t>
  </si>
  <si>
    <t>week 2 rain make up 4 vs 8 game #2 (no start) - moved to end of season 7:00 match</t>
  </si>
  <si>
    <t>week 2 rain make up 3 vs 7 game #2 (no start) - moved to end of season 7:00 match</t>
  </si>
  <si>
    <t>rain make-up from wk 2 team 1 vs 2 game #2 (no start) - move to week 5 @ 8:00</t>
  </si>
  <si>
    <t>6-0</t>
  </si>
  <si>
    <t>0-6</t>
  </si>
  <si>
    <t>1-5</t>
  </si>
  <si>
    <t>5-1</t>
  </si>
  <si>
    <t>5-2</t>
  </si>
  <si>
    <t>2-5</t>
  </si>
  <si>
    <t>3-5</t>
  </si>
  <si>
    <t>5-3</t>
  </si>
  <si>
    <t>As of 7/5</t>
  </si>
  <si>
    <t>As of 6/29</t>
  </si>
  <si>
    <t>2-6</t>
  </si>
  <si>
    <t>6-2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</si>
</sst>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8">
    <xf numFmtId="0" fontId="0" fillId="0" borderId="0" xfId="0"/>
    <xf numFmtId="0" fontId="0" fillId="4" borderId="0" xfId="0" applyFill="1"/>
    <xf numFmtId="0" fontId="0" fillId="4" borderId="0" xfId="0" applyFill="1" applyBorder="1"/>
    <xf numFmtId="0" fontId="0" fillId="4" borderId="0" xfId="0" applyFill="1" applyAlignment="1">
      <alignment wrapText="1"/>
    </xf>
    <xf numFmtId="0" fontId="0" fillId="4" borderId="0" xfId="0" applyFill="1" applyBorder="1" applyAlignment="1">
      <alignment horizontal="center"/>
    </xf>
    <xf numFmtId="0" fontId="0" fillId="4" borderId="0" xfId="0" applyFill="1" applyBorder="1" applyAlignment="1">
      <alignment wrapText="1"/>
    </xf>
    <xf numFmtId="0" fontId="0" fillId="4" borderId="1" xfId="0" applyNumberFormat="1" applyFill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0" fontId="0" fillId="4" borderId="0" xfId="0" applyNumberFormat="1" applyFill="1" applyBorder="1" applyAlignment="1">
      <alignment horizontal="center"/>
    </xf>
    <xf numFmtId="0" fontId="5" fillId="4" borderId="4" xfId="0" applyFont="1" applyFill="1" applyBorder="1" applyAlignment="1">
      <alignment horizontal="center" wrapText="1"/>
    </xf>
    <xf numFmtId="0" fontId="0" fillId="4" borderId="1" xfId="0" quotePrefix="1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quotePrefix="1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quotePrefix="1" applyNumberFormat="1" applyFill="1" applyBorder="1" applyAlignment="1">
      <alignment horizontal="center"/>
    </xf>
    <xf numFmtId="164" fontId="0" fillId="4" borderId="0" xfId="0" quotePrefix="1" applyNumberFormat="1" applyFill="1" applyBorder="1" applyAlignment="1">
      <alignment horizontal="center"/>
    </xf>
    <xf numFmtId="0" fontId="0" fillId="4" borderId="0" xfId="0" applyFill="1" applyBorder="1" applyAlignment="1">
      <alignment horizontal="center" wrapText="1"/>
    </xf>
    <xf numFmtId="0" fontId="4" fillId="4" borderId="9" xfId="0" applyFont="1" applyFill="1" applyBorder="1" applyAlignment="1">
      <alignment wrapText="1"/>
    </xf>
    <xf numFmtId="0" fontId="4" fillId="4" borderId="9" xfId="0" applyFont="1" applyFill="1" applyBorder="1" applyAlignment="1">
      <alignment horizontal="center" wrapText="1"/>
    </xf>
    <xf numFmtId="0" fontId="0" fillId="4" borderId="0" xfId="0" applyFill="1"/>
    <xf numFmtId="0" fontId="0" fillId="4" borderId="0" xfId="0" applyFill="1" applyBorder="1"/>
    <xf numFmtId="0" fontId="0" fillId="4" borderId="0" xfId="0" applyFill="1" applyAlignment="1">
      <alignment wrapText="1"/>
    </xf>
    <xf numFmtId="0" fontId="4" fillId="4" borderId="9" xfId="0" applyFont="1" applyFill="1" applyBorder="1"/>
    <xf numFmtId="0" fontId="0" fillId="4" borderId="0" xfId="0" applyFill="1" applyBorder="1" applyAlignment="1">
      <alignment horizontal="center"/>
    </xf>
    <xf numFmtId="0" fontId="5" fillId="4" borderId="9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wrapText="1"/>
    </xf>
    <xf numFmtId="0" fontId="4" fillId="4" borderId="0" xfId="0" applyFont="1" applyFill="1" applyAlignment="1">
      <alignment wrapText="1"/>
    </xf>
    <xf numFmtId="0" fontId="0" fillId="4" borderId="0" xfId="0" applyFill="1" applyAlignment="1">
      <alignment horizontal="right"/>
    </xf>
    <xf numFmtId="0" fontId="4" fillId="4" borderId="14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4" fillId="4" borderId="13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horizontal="center" wrapText="1"/>
    </xf>
    <xf numFmtId="10" fontId="3" fillId="4" borderId="8" xfId="1" applyNumberFormat="1" applyFont="1" applyFill="1" applyBorder="1" applyAlignment="1">
      <alignment horizontal="center" wrapText="1"/>
    </xf>
    <xf numFmtId="10" fontId="3" fillId="4" borderId="2" xfId="1" applyNumberFormat="1" applyFont="1" applyFill="1" applyBorder="1" applyAlignment="1">
      <alignment horizontal="center" wrapText="1"/>
    </xf>
    <xf numFmtId="10" fontId="3" fillId="4" borderId="2" xfId="1" quotePrefix="1" applyNumberFormat="1" applyFont="1" applyFill="1" applyBorder="1" applyAlignment="1">
      <alignment horizontal="center"/>
    </xf>
    <xf numFmtId="10" fontId="3" fillId="4" borderId="1" xfId="1" quotePrefix="1" applyNumberFormat="1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0" xfId="0" applyFont="1" applyFill="1" applyBorder="1" applyAlignment="1">
      <alignment horizontal="center" wrapText="1"/>
    </xf>
    <xf numFmtId="0" fontId="0" fillId="0" borderId="2" xfId="0" applyNumberFormat="1" applyFill="1" applyBorder="1" applyAlignment="1">
      <alignment horizontal="center"/>
    </xf>
    <xf numFmtId="0" fontId="0" fillId="0" borderId="2" xfId="0" quotePrefix="1" applyNumberFormat="1" applyFill="1" applyBorder="1" applyAlignment="1">
      <alignment horizontal="center"/>
    </xf>
    <xf numFmtId="10" fontId="3" fillId="0" borderId="2" xfId="1" quotePrefix="1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4" fillId="0" borderId="9" xfId="0" applyFont="1" applyFill="1" applyBorder="1" applyAlignment="1">
      <alignment wrapText="1"/>
    </xf>
    <xf numFmtId="0" fontId="0" fillId="0" borderId="3" xfId="0" quotePrefix="1" applyNumberFormat="1" applyFill="1" applyBorder="1" applyAlignment="1">
      <alignment horizontal="center"/>
    </xf>
    <xf numFmtId="0" fontId="2" fillId="3" borderId="9" xfId="0" applyFont="1" applyFill="1" applyBorder="1"/>
    <xf numFmtId="0" fontId="1" fillId="3" borderId="9" xfId="0" applyFont="1" applyFill="1" applyBorder="1" applyAlignment="1">
      <alignment horizontal="center"/>
    </xf>
    <xf numFmtId="0" fontId="2" fillId="2" borderId="8" xfId="0" applyFont="1" applyFill="1" applyBorder="1"/>
    <xf numFmtId="0" fontId="2" fillId="2" borderId="2" xfId="0" applyFont="1" applyFill="1" applyBorder="1"/>
    <xf numFmtId="0" fontId="0" fillId="0" borderId="0" xfId="0" applyFill="1"/>
    <xf numFmtId="0" fontId="4" fillId="0" borderId="15" xfId="0" applyFont="1" applyFill="1" applyBorder="1" applyAlignment="1">
      <alignment horizontal="center" wrapText="1"/>
    </xf>
    <xf numFmtId="0" fontId="2" fillId="0" borderId="2" xfId="0" applyFont="1" applyFill="1" applyBorder="1"/>
    <xf numFmtId="0" fontId="0" fillId="0" borderId="2" xfId="0" applyFill="1" applyBorder="1" applyAlignment="1">
      <alignment horizontal="center"/>
    </xf>
    <xf numFmtId="0" fontId="6" fillId="5" borderId="9" xfId="0" applyFont="1" applyFill="1" applyBorder="1"/>
    <xf numFmtId="0" fontId="6" fillId="5" borderId="9" xfId="0" applyFont="1" applyFill="1" applyBorder="1" applyAlignment="1">
      <alignment horizontal="center"/>
    </xf>
    <xf numFmtId="0" fontId="2" fillId="6" borderId="9" xfId="0" applyFont="1" applyFill="1" applyBorder="1"/>
    <xf numFmtId="0" fontId="1" fillId="6" borderId="9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0" xfId="0" applyFont="1" applyFill="1" applyBorder="1"/>
    <xf numFmtId="0" fontId="0" fillId="0" borderId="2" xfId="0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0" fillId="0" borderId="1" xfId="0" applyNumberFormat="1" applyFill="1" applyBorder="1" applyAlignment="1">
      <alignment horizontal="center"/>
    </xf>
    <xf numFmtId="0" fontId="0" fillId="0" borderId="1" xfId="0" quotePrefix="1" applyNumberFormat="1" applyFill="1" applyBorder="1" applyAlignment="1">
      <alignment horizontal="center"/>
    </xf>
    <xf numFmtId="10" fontId="3" fillId="0" borderId="1" xfId="1" quotePrefix="1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2" fillId="0" borderId="10" xfId="0" applyFont="1" applyFill="1" applyBorder="1"/>
    <xf numFmtId="0" fontId="0" fillId="0" borderId="3" xfId="0" applyNumberFormat="1" applyFill="1" applyBorder="1" applyAlignment="1">
      <alignment horizontal="center"/>
    </xf>
    <xf numFmtId="10" fontId="3" fillId="0" borderId="3" xfId="1" quotePrefix="1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8" fillId="0" borderId="9" xfId="0" applyFont="1" applyFill="1" applyBorder="1"/>
    <xf numFmtId="0" fontId="9" fillId="0" borderId="0" xfId="0" applyFont="1" applyFill="1"/>
    <xf numFmtId="0" fontId="2" fillId="7" borderId="19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 wrapText="1"/>
    </xf>
    <xf numFmtId="0" fontId="0" fillId="4" borderId="0" xfId="0" quotePrefix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 wrapText="1"/>
    </xf>
    <xf numFmtId="0" fontId="0" fillId="0" borderId="0" xfId="0" applyNumberFormat="1" applyFill="1" applyBorder="1" applyAlignment="1">
      <alignment horizontal="center"/>
    </xf>
    <xf numFmtId="0" fontId="4" fillId="4" borderId="14" xfId="0" applyFont="1" applyFill="1" applyBorder="1"/>
    <xf numFmtId="49" fontId="0" fillId="4" borderId="13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4" borderId="20" xfId="0" applyNumberFormat="1" applyFill="1" applyBorder="1" applyAlignment="1">
      <alignment horizontal="center"/>
    </xf>
    <xf numFmtId="49" fontId="0" fillId="4" borderId="23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4" borderId="28" xfId="0" applyNumberFormat="1" applyFill="1" applyBorder="1" applyAlignment="1">
      <alignment horizontal="center"/>
    </xf>
    <xf numFmtId="49" fontId="0" fillId="4" borderId="29" xfId="0" applyNumberForma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49" fontId="0" fillId="0" borderId="0" xfId="0" quotePrefix="1" applyNumberFormat="1" applyFill="1" applyBorder="1" applyAlignment="1">
      <alignment horizontal="center"/>
    </xf>
    <xf numFmtId="49" fontId="0" fillId="4" borderId="22" xfId="0" applyNumberFormat="1" applyFill="1" applyBorder="1" applyAlignment="1">
      <alignment horizontal="center"/>
    </xf>
    <xf numFmtId="49" fontId="0" fillId="4" borderId="24" xfId="0" applyNumberFormat="1" applyFill="1" applyBorder="1" applyAlignment="1">
      <alignment horizontal="center"/>
    </xf>
    <xf numFmtId="49" fontId="0" fillId="4" borderId="21" xfId="0" applyNumberFormat="1" applyFill="1" applyBorder="1" applyAlignment="1">
      <alignment horizontal="center"/>
    </xf>
    <xf numFmtId="49" fontId="0" fillId="4" borderId="26" xfId="0" applyNumberForma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4" borderId="27" xfId="0" applyNumberFormat="1" applyFill="1" applyBorder="1" applyAlignment="1">
      <alignment horizontal="center"/>
    </xf>
    <xf numFmtId="49" fontId="0" fillId="4" borderId="25" xfId="0" applyNumberFormat="1" applyFill="1" applyBorder="1" applyAlignment="1">
      <alignment horizontal="center"/>
    </xf>
    <xf numFmtId="49" fontId="0" fillId="4" borderId="15" xfId="0" applyNumberFormat="1" applyFill="1" applyBorder="1" applyAlignment="1">
      <alignment horizontal="center"/>
    </xf>
    <xf numFmtId="0" fontId="0" fillId="4" borderId="0" xfId="0" applyFill="1" applyAlignment="1"/>
    <xf numFmtId="49" fontId="0" fillId="4" borderId="2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4" borderId="8" xfId="0" applyNumberFormat="1" applyFill="1" applyBorder="1" applyAlignment="1">
      <alignment horizontal="center" vertical="center"/>
    </xf>
    <xf numFmtId="49" fontId="0" fillId="4" borderId="12" xfId="0" applyNumberForma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49" fontId="0" fillId="4" borderId="8" xfId="0" applyNumberForma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 vertical="center"/>
    </xf>
    <xf numFmtId="49" fontId="0" fillId="4" borderId="20" xfId="0" applyNumberForma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49" fontId="0" fillId="4" borderId="11" xfId="0" applyNumberFormat="1" applyFill="1" applyBorder="1" applyAlignment="1">
      <alignment horizontal="center"/>
    </xf>
    <xf numFmtId="49" fontId="9" fillId="0" borderId="15" xfId="0" applyNumberFormat="1" applyFont="1" applyFill="1" applyBorder="1" applyAlignment="1">
      <alignment horizontal="center"/>
    </xf>
    <xf numFmtId="0" fontId="4" fillId="4" borderId="9" xfId="0" applyFont="1" applyFill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4" borderId="4" xfId="0" applyFont="1" applyFill="1" applyBorder="1" applyAlignment="1">
      <alignment horizontal="left" wrapText="1"/>
    </xf>
    <xf numFmtId="0" fontId="4" fillId="4" borderId="24" xfId="0" applyFont="1" applyFill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49" fontId="0" fillId="8" borderId="2" xfId="0" quotePrefix="1" applyNumberFormat="1" applyFill="1" applyBorder="1" applyAlignment="1">
      <alignment horizontal="center" vertical="center"/>
    </xf>
    <xf numFmtId="0" fontId="0" fillId="8" borderId="0" xfId="0" applyFill="1"/>
    <xf numFmtId="49" fontId="0" fillId="0" borderId="8" xfId="0" applyNumberFormat="1" applyFill="1" applyBorder="1" applyAlignment="1">
      <alignment horizontal="center" vertical="center"/>
    </xf>
    <xf numFmtId="0" fontId="0" fillId="0" borderId="2" xfId="0" applyBorder="1"/>
    <xf numFmtId="49" fontId="0" fillId="0" borderId="10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6" xfId="0" applyNumberFormat="1" applyFill="1" applyBorder="1" applyAlignment="1">
      <alignment horizontal="center"/>
    </xf>
    <xf numFmtId="49" fontId="0" fillId="8" borderId="2" xfId="0" applyNumberFormat="1" applyFill="1" applyBorder="1" applyAlignment="1">
      <alignment horizontal="center" vertical="center"/>
    </xf>
    <xf numFmtId="49" fontId="0" fillId="8" borderId="20" xfId="0" applyNumberForma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4" borderId="0" xfId="0" applyFont="1" applyFill="1" applyAlignment="1">
      <alignment horizontal="left" wrapText="1"/>
    </xf>
    <xf numFmtId="0" fontId="4" fillId="4" borderId="0" xfId="0" applyFont="1" applyFill="1" applyAlignment="1">
      <alignment horizontal="center"/>
    </xf>
    <xf numFmtId="0" fontId="4" fillId="4" borderId="16" xfId="0" applyFont="1" applyFill="1" applyBorder="1" applyAlignment="1">
      <alignment horizontal="center" vertical="top" wrapText="1"/>
    </xf>
    <xf numFmtId="0" fontId="4" fillId="4" borderId="0" xfId="0" applyFont="1" applyFill="1" applyBorder="1" applyAlignment="1">
      <alignment horizontal="center" vertical="top" wrapText="1"/>
    </xf>
    <xf numFmtId="0" fontId="6" fillId="5" borderId="17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0" fillId="4" borderId="0" xfId="0" applyFill="1" applyAlignment="1">
      <alignment horizontal="left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0" fillId="4" borderId="3" xfId="0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10" fontId="3" fillId="4" borderId="3" xfId="1" applyNumberFormat="1" applyFont="1" applyFill="1" applyBorder="1" applyAlignment="1">
      <alignment horizontal="center" wrapText="1"/>
    </xf>
    <xf numFmtId="10" fontId="3" fillId="0" borderId="2" xfId="1" applyNumberFormat="1" applyFont="1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workbookViewId="0">
      <selection activeCell="B4" sqref="B4:F8"/>
    </sheetView>
  </sheetViews>
  <sheetFormatPr defaultRowHeight="15"/>
  <cols>
    <col min="1" max="1" width="18.140625" style="3" customWidth="1"/>
    <col min="2" max="2" width="16.5703125" style="1" customWidth="1"/>
    <col min="3" max="3" width="12.42578125" style="1" customWidth="1"/>
    <col min="4" max="4" width="9.140625" style="1"/>
    <col min="5" max="5" width="11.28515625" style="1" customWidth="1"/>
    <col min="6" max="6" width="9.85546875" style="1" bestFit="1" customWidth="1"/>
    <col min="7" max="7" width="19.7109375" style="1" bestFit="1" customWidth="1"/>
    <col min="8" max="8" width="10.28515625" style="1" bestFit="1" customWidth="1"/>
    <col min="9" max="9" width="15.28515625" style="1" bestFit="1" customWidth="1"/>
    <col min="10" max="10" width="15.42578125" style="1" bestFit="1" customWidth="1"/>
    <col min="11" max="11" width="13.85546875" style="1" bestFit="1" customWidth="1"/>
    <col min="12" max="12" width="5.7109375" style="1" bestFit="1" customWidth="1"/>
    <col min="13" max="13" width="4.7109375" style="1" bestFit="1" customWidth="1"/>
    <col min="14" max="14" width="12.42578125" style="1" bestFit="1" customWidth="1"/>
    <col min="15" max="15" width="7" style="1" bestFit="1" customWidth="1"/>
    <col min="16" max="16384" width="9.140625" style="1"/>
  </cols>
  <sheetData>
    <row r="1" spans="1:11" s="19" customFormat="1">
      <c r="A1" s="21"/>
    </row>
    <row r="2" spans="1:11" s="19" customFormat="1">
      <c r="A2" s="21"/>
      <c r="B2" s="132" t="s">
        <v>34</v>
      </c>
      <c r="C2" s="132"/>
      <c r="D2" s="132"/>
      <c r="E2" s="132"/>
    </row>
    <row r="3" spans="1:11" s="19" customFormat="1" ht="15.75" thickBot="1">
      <c r="A3" s="21"/>
      <c r="C3" s="19" t="s">
        <v>143</v>
      </c>
    </row>
    <row r="4" spans="1:11" s="3" customFormat="1" ht="15.75" thickBot="1">
      <c r="A4" s="9" t="s">
        <v>0</v>
      </c>
      <c r="B4" s="9" t="s">
        <v>1</v>
      </c>
      <c r="C4" s="9" t="s">
        <v>5</v>
      </c>
      <c r="D4" s="9" t="s">
        <v>6</v>
      </c>
      <c r="E4" s="9" t="s">
        <v>4</v>
      </c>
      <c r="F4" s="9" t="s">
        <v>3</v>
      </c>
      <c r="H4" s="59"/>
      <c r="I4" s="135" t="s">
        <v>21</v>
      </c>
      <c r="J4" s="136"/>
      <c r="K4" s="60" t="s">
        <v>1</v>
      </c>
    </row>
    <row r="5" spans="1:11" ht="15.75" customHeight="1" thickBot="1">
      <c r="A5" s="33">
        <v>1</v>
      </c>
      <c r="B5" s="115" t="s">
        <v>107</v>
      </c>
      <c r="C5" s="7">
        <f>6+5+5</f>
        <v>16</v>
      </c>
      <c r="D5" s="7">
        <f>2+3+3</f>
        <v>8</v>
      </c>
      <c r="E5" s="38">
        <f>C5/SUM(C5:D5)</f>
        <v>0.66666666666666663</v>
      </c>
      <c r="F5" s="13">
        <f>27+25+25+25+25+21+25+25+25+26+25+25+14+10+13+17+21+25+25+25+25+25+25+25</f>
        <v>549</v>
      </c>
      <c r="H5" s="40">
        <v>1</v>
      </c>
      <c r="I5" s="41" t="s">
        <v>22</v>
      </c>
      <c r="J5" s="41" t="s">
        <v>23</v>
      </c>
      <c r="K5" s="41" t="s">
        <v>24</v>
      </c>
    </row>
    <row r="6" spans="1:11" ht="15.75" thickBot="1">
      <c r="A6" s="34">
        <v>2</v>
      </c>
      <c r="B6" s="131" t="s">
        <v>106</v>
      </c>
      <c r="C6" s="7">
        <f>5+3+3</f>
        <v>11</v>
      </c>
      <c r="D6" s="12">
        <f>3+5+5</f>
        <v>13</v>
      </c>
      <c r="E6" s="38">
        <f>C6/SUM(C6:D6)</f>
        <v>0.45833333333333331</v>
      </c>
      <c r="F6" s="13">
        <f>26+27+25+18+0+0+0+0+25+25+23+25+25+25+20+16+24+25+23+21+25+25+25+25</f>
        <v>473</v>
      </c>
      <c r="H6" s="42">
        <v>2</v>
      </c>
      <c r="I6" s="43" t="s">
        <v>25</v>
      </c>
      <c r="J6" s="43" t="s">
        <v>26</v>
      </c>
      <c r="K6" s="43" t="s">
        <v>27</v>
      </c>
    </row>
    <row r="7" spans="1:11">
      <c r="A7" s="34">
        <v>3</v>
      </c>
      <c r="B7" s="130" t="s">
        <v>105</v>
      </c>
      <c r="C7" s="6">
        <f>2+5+3</f>
        <v>10</v>
      </c>
      <c r="D7" s="10">
        <f>5+3+5</f>
        <v>13</v>
      </c>
      <c r="E7" s="39">
        <f>C7/SUM(C7:D7)</f>
        <v>0.43478260869565216</v>
      </c>
      <c r="F7" s="11">
        <f>18+15+14+12+25+25+25+23+27+25+17+17+25+25+25+26+14+21+15+21+13+22+27</f>
        <v>477</v>
      </c>
      <c r="H7" s="42">
        <v>3</v>
      </c>
      <c r="I7" s="43" t="s">
        <v>28</v>
      </c>
      <c r="J7" s="43" t="s">
        <v>29</v>
      </c>
      <c r="K7" s="43" t="s">
        <v>30</v>
      </c>
    </row>
    <row r="8" spans="1:11" ht="15.75" customHeight="1" thickBot="1">
      <c r="A8" s="34">
        <v>4</v>
      </c>
      <c r="B8" s="118" t="s">
        <v>104</v>
      </c>
      <c r="C8" s="7">
        <f>5+3+2</f>
        <v>10</v>
      </c>
      <c r="D8" s="12">
        <f>2+5+6</f>
        <v>13</v>
      </c>
      <c r="E8" s="38">
        <f>C8/SUM(C8:D8)</f>
        <v>0.43478260869565216</v>
      </c>
      <c r="F8" s="13">
        <f>25+25+21+25+20+25+0+0+0+0+25+23+25+25+25+11+25+25+22+20+21+23</f>
        <v>411</v>
      </c>
      <c r="H8" s="42">
        <v>4</v>
      </c>
      <c r="I8" s="43" t="s">
        <v>31</v>
      </c>
      <c r="J8" s="43" t="s">
        <v>32</v>
      </c>
      <c r="K8" s="43" t="s">
        <v>33</v>
      </c>
    </row>
    <row r="9" spans="1:11" ht="15.75" thickBot="1">
      <c r="A9" s="44"/>
      <c r="B9" s="49"/>
      <c r="C9" s="45"/>
      <c r="D9" s="46"/>
      <c r="E9" s="47"/>
      <c r="F9" s="48"/>
    </row>
    <row r="10" spans="1:11">
      <c r="A10" s="16"/>
      <c r="B10" s="2"/>
      <c r="C10" s="8"/>
      <c r="D10" s="14"/>
      <c r="E10" s="15"/>
      <c r="F10" s="4"/>
    </row>
    <row r="11" spans="1:11">
      <c r="A11" s="16"/>
      <c r="B11" s="2"/>
      <c r="E11" s="15"/>
      <c r="F11" s="4"/>
    </row>
    <row r="12" spans="1:11" ht="30.75" customHeight="1" thickBot="1">
      <c r="A12" s="1"/>
      <c r="D12" s="133" t="s">
        <v>7</v>
      </c>
      <c r="E12" s="134"/>
    </row>
    <row r="13" spans="1:11" ht="30.75" thickBot="1">
      <c r="A13" s="5"/>
      <c r="B13" s="18" t="s">
        <v>104</v>
      </c>
      <c r="C13" s="18" t="s">
        <v>105</v>
      </c>
      <c r="D13" s="28" t="s">
        <v>106</v>
      </c>
      <c r="E13" s="18" t="s">
        <v>107</v>
      </c>
      <c r="F13" s="81"/>
    </row>
    <row r="14" spans="1:11" ht="15.75" thickBot="1">
      <c r="A14" s="115" t="s">
        <v>104</v>
      </c>
      <c r="B14" s="84" t="s">
        <v>9</v>
      </c>
      <c r="C14" s="89" t="s">
        <v>139</v>
      </c>
      <c r="D14" s="96" t="s">
        <v>141</v>
      </c>
      <c r="E14" s="100" t="s">
        <v>145</v>
      </c>
      <c r="F14" s="14"/>
    </row>
    <row r="15" spans="1:11" ht="15.75" customHeight="1" thickBot="1">
      <c r="A15" s="116" t="s">
        <v>105</v>
      </c>
      <c r="B15" s="85" t="s">
        <v>140</v>
      </c>
      <c r="C15" s="86" t="s">
        <v>9</v>
      </c>
      <c r="D15" s="87" t="s">
        <v>142</v>
      </c>
      <c r="E15" s="88" t="s">
        <v>141</v>
      </c>
      <c r="F15" s="14"/>
    </row>
    <row r="16" spans="1:11">
      <c r="A16" s="117" t="s">
        <v>106</v>
      </c>
      <c r="B16" s="97" t="s">
        <v>142</v>
      </c>
      <c r="C16" s="99" t="s">
        <v>141</v>
      </c>
      <c r="D16" s="90" t="s">
        <v>9</v>
      </c>
      <c r="E16" s="91" t="s">
        <v>141</v>
      </c>
      <c r="F16" s="14"/>
    </row>
    <row r="17" spans="1:6" ht="15.75" customHeight="1" thickBot="1">
      <c r="A17" s="118" t="s">
        <v>107</v>
      </c>
      <c r="B17" s="101" t="s">
        <v>146</v>
      </c>
      <c r="C17" s="98" t="s">
        <v>142</v>
      </c>
      <c r="D17" s="94" t="s">
        <v>142</v>
      </c>
      <c r="E17" s="95" t="s">
        <v>9</v>
      </c>
      <c r="F17" s="14"/>
    </row>
    <row r="18" spans="1:6">
      <c r="A18" s="92"/>
      <c r="B18" s="93"/>
      <c r="C18" s="93"/>
      <c r="D18" s="93"/>
      <c r="E18" s="93"/>
      <c r="F18" s="82"/>
    </row>
    <row r="19" spans="1:6">
      <c r="A19" s="102" t="s">
        <v>134</v>
      </c>
    </row>
  </sheetData>
  <sortState ref="B5:F8">
    <sortCondition descending="1" ref="C5:C8"/>
    <sortCondition descending="1" ref="F5:F8"/>
  </sortState>
  <mergeCells count="3">
    <mergeCell ref="B2:E2"/>
    <mergeCell ref="D12:E12"/>
    <mergeCell ref="I4:J4"/>
  </mergeCells>
  <pageMargins left="0.13" right="0.13" top="0.75" bottom="0.75" header="0.3" footer="0.3"/>
  <pageSetup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tabSelected="1" workbookViewId="0">
      <selection activeCell="C9" sqref="C9:D9"/>
    </sheetView>
  </sheetViews>
  <sheetFormatPr defaultRowHeight="15"/>
  <cols>
    <col min="1" max="1" width="19.140625" style="1" customWidth="1"/>
    <col min="2" max="2" width="20.28515625" style="1" customWidth="1"/>
    <col min="3" max="3" width="13.140625" style="1" customWidth="1"/>
    <col min="4" max="4" width="10.28515625" style="1" customWidth="1"/>
    <col min="5" max="5" width="11" style="1" customWidth="1"/>
    <col min="6" max="6" width="12.140625" style="1" customWidth="1"/>
    <col min="7" max="8" width="10.140625" style="1" customWidth="1"/>
    <col min="9" max="9" width="11.85546875" style="1" customWidth="1"/>
    <col min="10" max="10" width="18" style="1" bestFit="1" customWidth="1"/>
    <col min="11" max="11" width="15.28515625" style="1" bestFit="1" customWidth="1"/>
    <col min="12" max="12" width="16.7109375" style="1" bestFit="1" customWidth="1"/>
    <col min="13" max="16384" width="9.140625" style="1"/>
  </cols>
  <sheetData>
    <row r="1" spans="1:12" s="19" customFormat="1"/>
    <row r="2" spans="1:12" s="19" customFormat="1">
      <c r="B2" s="132" t="s">
        <v>10</v>
      </c>
      <c r="C2" s="132"/>
      <c r="D2" s="132"/>
      <c r="E2" s="132"/>
    </row>
    <row r="3" spans="1:12" s="19" customFormat="1" ht="15.75" thickBot="1">
      <c r="C3" s="19" t="s">
        <v>143</v>
      </c>
    </row>
    <row r="4" spans="1:12" ht="15.75" thickBot="1">
      <c r="A4" s="24" t="s">
        <v>0</v>
      </c>
      <c r="B4" s="9" t="s">
        <v>1</v>
      </c>
      <c r="C4" s="24" t="s">
        <v>5</v>
      </c>
      <c r="D4" s="24" t="s">
        <v>6</v>
      </c>
      <c r="E4" s="24" t="s">
        <v>4</v>
      </c>
      <c r="F4" s="24" t="s">
        <v>3</v>
      </c>
      <c r="I4" s="51"/>
      <c r="J4" s="138" t="s">
        <v>35</v>
      </c>
      <c r="K4" s="139"/>
      <c r="L4" s="52" t="s">
        <v>1</v>
      </c>
    </row>
    <row r="5" spans="1:12">
      <c r="A5" s="35">
        <v>1</v>
      </c>
      <c r="B5" s="123" t="s">
        <v>109</v>
      </c>
      <c r="C5" s="30">
        <f>3+4+3+4+3</f>
        <v>17</v>
      </c>
      <c r="D5" s="30">
        <f>1+1+2+2</f>
        <v>6</v>
      </c>
      <c r="E5" s="36">
        <f>C5/SUM(C5:D5)</f>
        <v>0.73913043478260865</v>
      </c>
      <c r="F5" s="31">
        <f>25+26+22+25+25+25+25+0+0+0+0+25+25+25+25+25+25+25+25+25+25+25+25</f>
        <v>473</v>
      </c>
      <c r="I5" s="53">
        <v>1</v>
      </c>
      <c r="J5" s="41" t="s">
        <v>36</v>
      </c>
      <c r="K5" s="41" t="s">
        <v>37</v>
      </c>
      <c r="L5" s="41" t="s">
        <v>8</v>
      </c>
    </row>
    <row r="6" spans="1:12">
      <c r="A6" s="34">
        <v>2</v>
      </c>
      <c r="B6" s="123" t="s">
        <v>108</v>
      </c>
      <c r="C6" s="29">
        <f>1+2+4+2+4+1+2</f>
        <v>16</v>
      </c>
      <c r="D6" s="29">
        <f>3+2+1</f>
        <v>6</v>
      </c>
      <c r="E6" s="37">
        <f>C6/SUM(C6:D6)</f>
        <v>0.72727272727272729</v>
      </c>
      <c r="F6" s="32">
        <f>18+27+21+23+25+25+25+19+25+25+25+25+25+15+18+25+25+25+25+25+25+25+25</f>
        <v>541</v>
      </c>
      <c r="I6" s="54">
        <v>2</v>
      </c>
      <c r="J6" s="43" t="s">
        <v>38</v>
      </c>
      <c r="K6" s="43" t="s">
        <v>39</v>
      </c>
      <c r="L6" s="43" t="s">
        <v>40</v>
      </c>
    </row>
    <row r="7" spans="1:12">
      <c r="A7" s="34">
        <v>3</v>
      </c>
      <c r="B7" s="123" t="s">
        <v>112</v>
      </c>
      <c r="C7" s="29">
        <f>1+1+4+3+4</f>
        <v>13</v>
      </c>
      <c r="D7" s="29">
        <f>2+4+1+1+1</f>
        <v>9</v>
      </c>
      <c r="E7" s="37">
        <f>C7/SUM(C7:D7)</f>
        <v>0.59090909090909094</v>
      </c>
      <c r="F7" s="32">
        <f>25+25+25+25+25+25+25+22+25+16+19+14+25+25+25+25+25+25+6+7+19+18</f>
        <v>471</v>
      </c>
      <c r="I7" s="54">
        <v>3</v>
      </c>
      <c r="J7" s="43" t="s">
        <v>41</v>
      </c>
      <c r="K7" s="43" t="s">
        <v>42</v>
      </c>
      <c r="L7" s="43" t="s">
        <v>43</v>
      </c>
    </row>
    <row r="8" spans="1:12">
      <c r="A8" s="34">
        <v>4</v>
      </c>
      <c r="B8" s="123" t="s">
        <v>110</v>
      </c>
      <c r="C8" s="29">
        <f>2+2+1+1+2+4</f>
        <v>12</v>
      </c>
      <c r="D8" s="29">
        <f>2+4+2+1+1+1</f>
        <v>11</v>
      </c>
      <c r="E8" s="37">
        <f>C8/SUM(C8:D8)</f>
        <v>0.52173913043478259</v>
      </c>
      <c r="F8" s="32">
        <f>26+21+25+25+11+21+19+25+19+13+25+25+25+21+25+19+13+19+22+25+25+25+25</f>
        <v>499</v>
      </c>
      <c r="I8" s="54">
        <v>4</v>
      </c>
      <c r="J8" s="43" t="s">
        <v>44</v>
      </c>
      <c r="K8" s="43" t="s">
        <v>45</v>
      </c>
      <c r="L8" s="43" t="s">
        <v>46</v>
      </c>
    </row>
    <row r="9" spans="1:12">
      <c r="A9" s="34">
        <v>5</v>
      </c>
      <c r="B9" s="123" t="s">
        <v>114</v>
      </c>
      <c r="C9" s="29">
        <f>1+2+1+1+1+2+4</f>
        <v>12</v>
      </c>
      <c r="D9" s="29">
        <f>1+2+3+3+2</f>
        <v>11</v>
      </c>
      <c r="E9" s="37">
        <f>C9/SUM(C9:D9)</f>
        <v>0.52173913043478259</v>
      </c>
      <c r="F9" s="32">
        <f>25+25+25+15+25+18+25+25+23+25+25+25+19+25+25+20+18+25+21+0+0+0+0</f>
        <v>434</v>
      </c>
      <c r="I9" s="54">
        <v>5</v>
      </c>
      <c r="J9" s="43" t="s">
        <v>47</v>
      </c>
      <c r="K9" s="43" t="s">
        <v>48</v>
      </c>
      <c r="L9" s="43" t="s">
        <v>49</v>
      </c>
    </row>
    <row r="10" spans="1:12">
      <c r="A10" s="34">
        <v>6</v>
      </c>
      <c r="B10" s="123" t="s">
        <v>111</v>
      </c>
      <c r="C10" s="29">
        <f>1+2+1+2+3</f>
        <v>9</v>
      </c>
      <c r="D10" s="29">
        <f>4+3+2+1+1+2</f>
        <v>13</v>
      </c>
      <c r="E10" s="37">
        <f>C10/SUM(C10:D10)</f>
        <v>0.40909090909090912</v>
      </c>
      <c r="F10" s="32">
        <f>24+25+25+20+21+23+16+25+25+25+22+25+25+22+21+18+19+17+0+0+25+25</f>
        <v>448</v>
      </c>
      <c r="I10" s="54">
        <v>6</v>
      </c>
      <c r="J10" s="43" t="s">
        <v>50</v>
      </c>
      <c r="K10" s="43" t="s">
        <v>51</v>
      </c>
      <c r="L10" s="43" t="s">
        <v>52</v>
      </c>
    </row>
    <row r="11" spans="1:12" s="19" customFormat="1">
      <c r="A11" s="34">
        <v>7</v>
      </c>
      <c r="B11" s="123" t="s">
        <v>115</v>
      </c>
      <c r="C11" s="143">
        <f>2+2+2</f>
        <v>6</v>
      </c>
      <c r="D11" s="143">
        <f>2+4+4+2+4</f>
        <v>16</v>
      </c>
      <c r="E11" s="145">
        <f>C11/SUM(C11:D11)</f>
        <v>0.27272727272727271</v>
      </c>
      <c r="F11" s="147">
        <f>22+22+25+25+13+20+25+25+15+21+14+15+12+23+0+0+0+0+25+25+15+17</f>
        <v>359</v>
      </c>
      <c r="I11" s="54">
        <v>7</v>
      </c>
      <c r="J11" s="43" t="s">
        <v>53</v>
      </c>
      <c r="K11" s="43" t="s">
        <v>54</v>
      </c>
      <c r="L11" s="43" t="s">
        <v>55</v>
      </c>
    </row>
    <row r="12" spans="1:12" s="55" customFormat="1" ht="15.75" thickBot="1">
      <c r="A12" s="56">
        <v>8</v>
      </c>
      <c r="B12" s="123" t="s">
        <v>113</v>
      </c>
      <c r="C12" s="142">
        <f>1+2+2</f>
        <v>5</v>
      </c>
      <c r="D12" s="142">
        <f>4+3+1+2+4+2+2</f>
        <v>18</v>
      </c>
      <c r="E12" s="144">
        <f>C12/SUM(C12:D12)</f>
        <v>0.21739130434782608</v>
      </c>
      <c r="F12" s="146">
        <f>9+16+17+21+18+25+7+7+25+10+22+12+8+20+23+25+25+22+25+18+12+12+17</f>
        <v>396</v>
      </c>
      <c r="I12" s="57">
        <v>8</v>
      </c>
      <c r="J12" s="58" t="s">
        <v>56</v>
      </c>
      <c r="K12" s="58" t="s">
        <v>57</v>
      </c>
      <c r="L12" s="58" t="s">
        <v>58</v>
      </c>
    </row>
    <row r="15" spans="1:12" ht="15" customHeight="1">
      <c r="D15" s="134" t="s">
        <v>7</v>
      </c>
      <c r="E15" s="134"/>
      <c r="F15" s="134"/>
    </row>
    <row r="16" spans="1:12">
      <c r="A16" s="137"/>
      <c r="B16" s="137"/>
      <c r="C16" s="19"/>
      <c r="D16" s="19"/>
      <c r="E16" s="19"/>
      <c r="F16" s="19"/>
      <c r="G16" s="19"/>
      <c r="K16" s="55"/>
    </row>
    <row r="17" spans="1:9" ht="30">
      <c r="A17" s="5"/>
      <c r="B17" s="119" t="s">
        <v>108</v>
      </c>
      <c r="C17" s="119" t="s">
        <v>109</v>
      </c>
      <c r="D17" s="119" t="s">
        <v>110</v>
      </c>
      <c r="E17" s="119" t="s">
        <v>111</v>
      </c>
      <c r="F17" s="119" t="s">
        <v>112</v>
      </c>
      <c r="G17" s="119" t="s">
        <v>113</v>
      </c>
      <c r="H17" s="119" t="s">
        <v>114</v>
      </c>
      <c r="I17" s="119" t="s">
        <v>115</v>
      </c>
    </row>
    <row r="18" spans="1:9" ht="15.75" customHeight="1">
      <c r="A18" t="s">
        <v>108</v>
      </c>
      <c r="B18" s="105" t="s">
        <v>9</v>
      </c>
      <c r="C18" s="105" t="s">
        <v>19</v>
      </c>
      <c r="D18" s="122" t="s">
        <v>125</v>
      </c>
      <c r="E18" s="105" t="s">
        <v>126</v>
      </c>
      <c r="F18" s="105" t="s">
        <v>91</v>
      </c>
      <c r="G18" s="105" t="s">
        <v>126</v>
      </c>
      <c r="H18" s="105" t="s">
        <v>2</v>
      </c>
      <c r="I18" s="105" t="s">
        <v>91</v>
      </c>
    </row>
    <row r="19" spans="1:9" s="55" customFormat="1">
      <c r="A19" s="55" t="s">
        <v>109</v>
      </c>
      <c r="B19" s="104" t="s">
        <v>20</v>
      </c>
      <c r="C19" s="104" t="s">
        <v>9</v>
      </c>
      <c r="D19" s="104" t="s">
        <v>126</v>
      </c>
      <c r="E19" s="104" t="s">
        <v>20</v>
      </c>
      <c r="F19" s="104" t="s">
        <v>126</v>
      </c>
      <c r="G19" s="104" t="s">
        <v>15</v>
      </c>
      <c r="H19" s="104" t="s">
        <v>90</v>
      </c>
      <c r="I19" s="122" t="s">
        <v>90</v>
      </c>
    </row>
    <row r="20" spans="1:9" s="55" customFormat="1">
      <c r="A20" s="55" t="s">
        <v>110</v>
      </c>
      <c r="B20" s="104" t="s">
        <v>125</v>
      </c>
      <c r="C20" s="104" t="s">
        <v>127</v>
      </c>
      <c r="D20" s="104" t="s">
        <v>9</v>
      </c>
      <c r="E20" s="104" t="s">
        <v>125</v>
      </c>
      <c r="F20" s="104" t="s">
        <v>2</v>
      </c>
      <c r="G20" s="104" t="s">
        <v>2</v>
      </c>
      <c r="H20" s="104" t="s">
        <v>17</v>
      </c>
      <c r="I20" s="104" t="s">
        <v>126</v>
      </c>
    </row>
    <row r="21" spans="1:9" s="55" customFormat="1" ht="15.75" customHeight="1">
      <c r="A21" s="55" t="s">
        <v>111</v>
      </c>
      <c r="B21" s="104" t="s">
        <v>127</v>
      </c>
      <c r="C21" s="104" t="s">
        <v>19</v>
      </c>
      <c r="D21" s="104" t="s">
        <v>125</v>
      </c>
      <c r="E21" s="104" t="s">
        <v>9</v>
      </c>
      <c r="F21" s="104" t="s">
        <v>2</v>
      </c>
      <c r="G21" s="104" t="s">
        <v>91</v>
      </c>
      <c r="H21" s="104" t="s">
        <v>20</v>
      </c>
      <c r="I21" s="104" t="s">
        <v>90</v>
      </c>
    </row>
    <row r="22" spans="1:9" s="55" customFormat="1" ht="15.75" customHeight="1">
      <c r="A22" s="55" t="s">
        <v>112</v>
      </c>
      <c r="B22" s="104" t="s">
        <v>90</v>
      </c>
      <c r="C22" s="104" t="s">
        <v>127</v>
      </c>
      <c r="D22" s="104" t="s">
        <v>2</v>
      </c>
      <c r="E22" s="104" t="s">
        <v>2</v>
      </c>
      <c r="F22" s="104" t="s">
        <v>9</v>
      </c>
      <c r="G22" s="104" t="s">
        <v>126</v>
      </c>
      <c r="H22" s="104" t="s">
        <v>20</v>
      </c>
      <c r="I22" s="104" t="s">
        <v>126</v>
      </c>
    </row>
    <row r="23" spans="1:9" s="55" customFormat="1">
      <c r="A23" s="55" t="s">
        <v>113</v>
      </c>
      <c r="B23" s="104" t="s">
        <v>127</v>
      </c>
      <c r="C23" s="104" t="s">
        <v>16</v>
      </c>
      <c r="D23" s="104" t="s">
        <v>2</v>
      </c>
      <c r="E23" s="104" t="s">
        <v>90</v>
      </c>
      <c r="F23" s="104" t="s">
        <v>127</v>
      </c>
      <c r="G23" s="104" t="s">
        <v>9</v>
      </c>
      <c r="H23" s="104" t="s">
        <v>125</v>
      </c>
      <c r="I23" s="104" t="s">
        <v>125</v>
      </c>
    </row>
    <row r="24" spans="1:9" s="55" customFormat="1">
      <c r="A24" s="55" t="s">
        <v>114</v>
      </c>
      <c r="B24" s="104" t="s">
        <v>2</v>
      </c>
      <c r="C24" s="104" t="s">
        <v>91</v>
      </c>
      <c r="D24" s="104" t="s">
        <v>18</v>
      </c>
      <c r="E24" s="104" t="s">
        <v>19</v>
      </c>
      <c r="F24" s="104" t="s">
        <v>19</v>
      </c>
      <c r="G24" s="104" t="s">
        <v>125</v>
      </c>
      <c r="H24" s="104" t="s">
        <v>13</v>
      </c>
      <c r="I24" s="104" t="s">
        <v>126</v>
      </c>
    </row>
    <row r="25" spans="1:9" s="121" customFormat="1" ht="15.75" customHeight="1">
      <c r="A25" s="121" t="s">
        <v>115</v>
      </c>
      <c r="B25" s="127" t="s">
        <v>90</v>
      </c>
      <c r="C25" s="127" t="s">
        <v>91</v>
      </c>
      <c r="D25" s="127" t="s">
        <v>127</v>
      </c>
      <c r="E25" s="127" t="s">
        <v>91</v>
      </c>
      <c r="F25" s="127" t="s">
        <v>127</v>
      </c>
      <c r="G25" s="127" t="s">
        <v>125</v>
      </c>
      <c r="H25" s="127" t="s">
        <v>127</v>
      </c>
      <c r="I25" s="127" t="s">
        <v>13</v>
      </c>
    </row>
    <row r="27" spans="1:9">
      <c r="A27" s="19" t="s">
        <v>128</v>
      </c>
    </row>
    <row r="28" spans="1:9">
      <c r="A28" s="19" t="s">
        <v>129</v>
      </c>
    </row>
    <row r="29" spans="1:9">
      <c r="A29" s="19" t="s">
        <v>130</v>
      </c>
    </row>
    <row r="30" spans="1:9">
      <c r="A30" s="19" t="s">
        <v>131</v>
      </c>
    </row>
    <row r="31" spans="1:9">
      <c r="A31" s="19" t="s">
        <v>132</v>
      </c>
    </row>
    <row r="32" spans="1:9">
      <c r="A32" s="55" t="s">
        <v>133</v>
      </c>
      <c r="B32" s="55"/>
      <c r="C32" s="55"/>
      <c r="D32" s="55"/>
      <c r="E32" s="55"/>
      <c r="F32" s="55"/>
    </row>
  </sheetData>
  <sortState ref="B5:F12">
    <sortCondition descending="1" ref="C5:C12"/>
    <sortCondition descending="1" ref="F5:F12"/>
  </sortState>
  <mergeCells count="4">
    <mergeCell ref="A16:B16"/>
    <mergeCell ref="B2:E2"/>
    <mergeCell ref="D15:F15"/>
    <mergeCell ref="J4:K4"/>
  </mergeCells>
  <pageMargins left="0.13" right="0.13" top="0.75" bottom="0.75" header="0.3" footer="0.3"/>
  <pageSetup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23"/>
  <sheetViews>
    <sheetView workbookViewId="0">
      <selection activeCell="B4" sqref="B4:F12"/>
    </sheetView>
  </sheetViews>
  <sheetFormatPr defaultRowHeight="15"/>
  <cols>
    <col min="1" max="1" width="19.7109375" style="19" bestFit="1" customWidth="1"/>
    <col min="2" max="2" width="20.140625" style="19" bestFit="1" customWidth="1"/>
    <col min="3" max="3" width="14.5703125" style="19" customWidth="1"/>
    <col min="4" max="4" width="14.42578125" style="19" customWidth="1"/>
    <col min="5" max="5" width="13.5703125" style="19" bestFit="1" customWidth="1"/>
    <col min="6" max="6" width="16.28515625" style="19" customWidth="1"/>
    <col min="7" max="7" width="12.28515625" style="19" customWidth="1"/>
    <col min="8" max="8" width="13.140625" style="19" customWidth="1"/>
    <col min="9" max="9" width="8.85546875" style="19" customWidth="1"/>
    <col min="10" max="10" width="15.28515625" style="19" bestFit="1" customWidth="1"/>
    <col min="11" max="11" width="16.42578125" style="19" bestFit="1" customWidth="1"/>
    <col min="12" max="12" width="18" style="19" bestFit="1" customWidth="1"/>
    <col min="13" max="16384" width="9.140625" style="19"/>
  </cols>
  <sheetData>
    <row r="2" spans="1:12" ht="15.75" thickBot="1">
      <c r="A2" s="21"/>
      <c r="B2" s="132" t="s">
        <v>12</v>
      </c>
      <c r="C2" s="132"/>
      <c r="D2" s="132"/>
      <c r="E2" s="132"/>
    </row>
    <row r="3" spans="1:12" ht="15.75" thickBot="1">
      <c r="A3" s="21"/>
      <c r="C3" s="27" t="s">
        <v>143</v>
      </c>
      <c r="I3" s="61"/>
      <c r="J3" s="140" t="s">
        <v>59</v>
      </c>
      <c r="K3" s="141"/>
      <c r="L3" s="62" t="s">
        <v>1</v>
      </c>
    </row>
    <row r="4" spans="1:12" s="21" customFormat="1" ht="15.75" thickBot="1">
      <c r="A4" s="9" t="s">
        <v>0</v>
      </c>
      <c r="B4" s="24" t="s">
        <v>1</v>
      </c>
      <c r="C4" s="9" t="s">
        <v>5</v>
      </c>
      <c r="D4" s="9" t="s">
        <v>6</v>
      </c>
      <c r="E4" s="9" t="s">
        <v>4</v>
      </c>
      <c r="F4" s="9" t="s">
        <v>3</v>
      </c>
      <c r="I4" s="63">
        <v>1</v>
      </c>
      <c r="J4" s="41" t="s">
        <v>37</v>
      </c>
      <c r="K4" s="41" t="s">
        <v>60</v>
      </c>
      <c r="L4" s="41" t="s">
        <v>61</v>
      </c>
    </row>
    <row r="5" spans="1:12" ht="15.75" thickBot="1">
      <c r="A5" s="33">
        <v>1</v>
      </c>
      <c r="B5" s="22" t="s">
        <v>118</v>
      </c>
      <c r="C5" s="7">
        <f>3+3+4+2+1+2+2</f>
        <v>17</v>
      </c>
      <c r="D5" s="12">
        <f>1+1+0+0+1+0+0</f>
        <v>3</v>
      </c>
      <c r="E5" s="38">
        <f t="shared" ref="E5:E12" si="0">C5/SUM(C5:D5)</f>
        <v>0.85</v>
      </c>
      <c r="F5" s="13">
        <f>25+25+19+25+25+20+25+25+15+25+25+25+25+25+25+25+25+25+25+25</f>
        <v>479</v>
      </c>
      <c r="I5" s="64">
        <v>2</v>
      </c>
      <c r="J5" s="43" t="s">
        <v>62</v>
      </c>
      <c r="K5" s="43" t="s">
        <v>39</v>
      </c>
      <c r="L5" s="43" t="s">
        <v>63</v>
      </c>
    </row>
    <row r="6" spans="1:12" ht="15.75" thickBot="1">
      <c r="A6" s="34">
        <v>2</v>
      </c>
      <c r="B6" s="75" t="s">
        <v>123</v>
      </c>
      <c r="C6" s="45">
        <f>1+2+0+2+3+3+4</f>
        <v>15</v>
      </c>
      <c r="D6" s="46">
        <f>1+0+2+0+1+1+0</f>
        <v>5</v>
      </c>
      <c r="E6" s="47">
        <f t="shared" si="0"/>
        <v>0.75</v>
      </c>
      <c r="F6" s="48">
        <f>25+25+25+25+22+25+25+25+25+25+16+25+17+23+25+25+25+22+25+25</f>
        <v>475</v>
      </c>
      <c r="I6" s="64">
        <v>3</v>
      </c>
      <c r="J6" s="43" t="s">
        <v>36</v>
      </c>
      <c r="K6" s="43" t="s">
        <v>64</v>
      </c>
      <c r="L6" s="43" t="s">
        <v>65</v>
      </c>
    </row>
    <row r="7" spans="1:12" ht="15.75" customHeight="1" thickBot="1">
      <c r="A7" s="34">
        <v>3</v>
      </c>
      <c r="B7" s="22" t="s">
        <v>116</v>
      </c>
      <c r="C7" s="7">
        <f>4+1+4+0+1+2+1</f>
        <v>13</v>
      </c>
      <c r="D7" s="12">
        <f>0+3+0+2+1+0+1</f>
        <v>7</v>
      </c>
      <c r="E7" s="38">
        <f t="shared" si="0"/>
        <v>0.65</v>
      </c>
      <c r="F7" s="13">
        <f>25+25+25+16+25+25+16+20+25+25+25+15+18+25+25+25+10+20+25+26</f>
        <v>441</v>
      </c>
      <c r="I7" s="64">
        <v>4</v>
      </c>
      <c r="J7" s="65" t="s">
        <v>66</v>
      </c>
      <c r="K7" s="66" t="s">
        <v>67</v>
      </c>
      <c r="L7" s="65" t="s">
        <v>68</v>
      </c>
    </row>
    <row r="8" spans="1:12" ht="15.75" thickBot="1">
      <c r="A8" s="34">
        <v>4</v>
      </c>
      <c r="B8" s="22" t="s">
        <v>121</v>
      </c>
      <c r="C8" s="45">
        <f>1+0+1+1+3+4+1</f>
        <v>11</v>
      </c>
      <c r="D8" s="46">
        <f>1+2+1+1+1+0+3</f>
        <v>9</v>
      </c>
      <c r="E8" s="47">
        <f t="shared" si="0"/>
        <v>0.55000000000000004</v>
      </c>
      <c r="F8" s="48">
        <f>17+25+23+22+25+25+19+20+25+19+23+25+25+16+25+25+15+25+25+25</f>
        <v>449</v>
      </c>
      <c r="I8" s="64">
        <v>5</v>
      </c>
      <c r="J8" s="43" t="s">
        <v>31</v>
      </c>
      <c r="K8" s="43" t="s">
        <v>69</v>
      </c>
      <c r="L8" s="43" t="s">
        <v>58</v>
      </c>
    </row>
    <row r="9" spans="1:12" s="55" customFormat="1" ht="15.75" thickBot="1">
      <c r="A9" s="44">
        <v>5</v>
      </c>
      <c r="B9" s="22" t="s">
        <v>120</v>
      </c>
      <c r="C9" s="67">
        <f>2+0+0+2+1+4+1</f>
        <v>10</v>
      </c>
      <c r="D9" s="68">
        <f>0+2+2+0+3+0+3</f>
        <v>10</v>
      </c>
      <c r="E9" s="69">
        <f t="shared" si="0"/>
        <v>0.5</v>
      </c>
      <c r="F9" s="70">
        <f>25+16+25+25+25+12+25+25+25+25+19+16+0+0+0+0+25+25+11+20</f>
        <v>344</v>
      </c>
      <c r="I9" s="71">
        <v>6</v>
      </c>
      <c r="J9" s="58" t="s">
        <v>70</v>
      </c>
      <c r="K9" s="112" t="s">
        <v>95</v>
      </c>
      <c r="L9" s="58" t="s">
        <v>49</v>
      </c>
    </row>
    <row r="10" spans="1:12" s="55" customFormat="1" ht="15.75" thickBot="1">
      <c r="A10" s="44">
        <v>6</v>
      </c>
      <c r="B10" s="83" t="s">
        <v>117</v>
      </c>
      <c r="C10" s="7">
        <f>0+1+2+2+2+2+0</f>
        <v>9</v>
      </c>
      <c r="D10" s="12">
        <f>4+3+2+0+0+0+2</f>
        <v>11</v>
      </c>
      <c r="E10" s="38">
        <f t="shared" si="0"/>
        <v>0.45</v>
      </c>
      <c r="F10" s="13">
        <f>22+17+25+25+19+25+25+25+18+21+25+25+25+25+22+17+0+0+0+0</f>
        <v>361</v>
      </c>
      <c r="I10" s="57">
        <v>7</v>
      </c>
      <c r="J10" s="58" t="s">
        <v>28</v>
      </c>
      <c r="K10" s="58" t="s">
        <v>42</v>
      </c>
      <c r="L10" s="58" t="s">
        <v>73</v>
      </c>
    </row>
    <row r="11" spans="1:12" s="55" customFormat="1" ht="15.75" thickBot="1">
      <c r="A11" s="44">
        <v>7</v>
      </c>
      <c r="B11" s="83" t="s">
        <v>119</v>
      </c>
      <c r="C11" s="7">
        <f>0+2+0+0+1+0+0</f>
        <v>3</v>
      </c>
      <c r="D11" s="12">
        <f>4+2+4+2+1+2+2</f>
        <v>17</v>
      </c>
      <c r="E11" s="38">
        <f t="shared" si="0"/>
        <v>0.15</v>
      </c>
      <c r="F11" s="13">
        <f>15+19+19+16+18+17+11+17+17+12+25+14+20+10+15+23+25+25+16+24</f>
        <v>358</v>
      </c>
      <c r="I11" s="57">
        <v>8</v>
      </c>
      <c r="J11" s="58" t="s">
        <v>71</v>
      </c>
      <c r="K11" s="58" t="s">
        <v>38</v>
      </c>
      <c r="L11" s="58" t="s">
        <v>72</v>
      </c>
    </row>
    <row r="12" spans="1:12" s="55" customFormat="1" ht="15.75" thickBot="1">
      <c r="A12" s="56">
        <v>8</v>
      </c>
      <c r="B12" s="22" t="s">
        <v>122</v>
      </c>
      <c r="C12" s="72">
        <f>0+0+0+2+0+0+0</f>
        <v>2</v>
      </c>
      <c r="D12" s="50">
        <f>2+2+2+0+4+4+4</f>
        <v>18</v>
      </c>
      <c r="E12" s="73">
        <f t="shared" si="0"/>
        <v>0.1</v>
      </c>
      <c r="F12" s="74">
        <f>14+16+21+23+16+11+11+19+19+10+23+15+25+25+9+11+0+22+23+21</f>
        <v>334</v>
      </c>
    </row>
    <row r="13" spans="1:12">
      <c r="A13" s="16"/>
      <c r="B13" s="20"/>
      <c r="E13" s="15"/>
      <c r="F13" s="23"/>
    </row>
    <row r="14" spans="1:12" ht="30.75" customHeight="1" thickBot="1">
      <c r="D14" s="134" t="s">
        <v>7</v>
      </c>
      <c r="E14" s="134"/>
    </row>
    <row r="15" spans="1:12" s="26" customFormat="1" ht="30.75" thickBot="1">
      <c r="A15" s="25"/>
      <c r="B15" s="18" t="s">
        <v>116</v>
      </c>
      <c r="C15" s="18" t="s">
        <v>117</v>
      </c>
      <c r="D15" s="18" t="s">
        <v>118</v>
      </c>
      <c r="E15" s="18" t="s">
        <v>119</v>
      </c>
      <c r="F15" s="18" t="s">
        <v>120</v>
      </c>
      <c r="G15" s="18" t="s">
        <v>121</v>
      </c>
      <c r="H15" s="18" t="s">
        <v>122</v>
      </c>
      <c r="I15" s="18" t="s">
        <v>123</v>
      </c>
    </row>
    <row r="16" spans="1:12" ht="15.75" thickBot="1">
      <c r="A16" s="22" t="s">
        <v>116</v>
      </c>
      <c r="B16" s="106" t="s">
        <v>9</v>
      </c>
      <c r="C16" s="108" t="s">
        <v>126</v>
      </c>
      <c r="D16" s="108" t="s">
        <v>19</v>
      </c>
      <c r="E16" s="108" t="s">
        <v>126</v>
      </c>
      <c r="F16" s="108" t="s">
        <v>90</v>
      </c>
      <c r="G16" s="108" t="s">
        <v>2</v>
      </c>
      <c r="H16" s="108" t="s">
        <v>91</v>
      </c>
      <c r="I16" s="113" t="s">
        <v>2</v>
      </c>
    </row>
    <row r="17" spans="1:9" ht="15.75" thickBot="1">
      <c r="A17" s="22" t="s">
        <v>117</v>
      </c>
      <c r="B17" s="124" t="s">
        <v>127</v>
      </c>
      <c r="C17" s="125" t="s">
        <v>9</v>
      </c>
      <c r="D17" s="125" t="s">
        <v>19</v>
      </c>
      <c r="E17" s="125" t="s">
        <v>125</v>
      </c>
      <c r="F17" s="125" t="s">
        <v>91</v>
      </c>
      <c r="G17" s="125" t="s">
        <v>91</v>
      </c>
      <c r="H17" s="125" t="s">
        <v>91</v>
      </c>
      <c r="I17" s="126" t="s">
        <v>90</v>
      </c>
    </row>
    <row r="18" spans="1:9" ht="15.75" thickBot="1">
      <c r="A18" s="22" t="s">
        <v>118</v>
      </c>
      <c r="B18" s="85" t="s">
        <v>20</v>
      </c>
      <c r="C18" s="86" t="s">
        <v>20</v>
      </c>
      <c r="D18" s="86" t="s">
        <v>9</v>
      </c>
      <c r="E18" s="86" t="s">
        <v>126</v>
      </c>
      <c r="F18" s="86" t="s">
        <v>91</v>
      </c>
      <c r="G18" s="86" t="s">
        <v>2</v>
      </c>
      <c r="H18" s="86" t="s">
        <v>91</v>
      </c>
      <c r="I18" s="129" t="s">
        <v>91</v>
      </c>
    </row>
    <row r="19" spans="1:9" ht="15.75" thickBot="1">
      <c r="A19" s="22" t="s">
        <v>119</v>
      </c>
      <c r="B19" s="124" t="s">
        <v>127</v>
      </c>
      <c r="C19" s="125" t="s">
        <v>125</v>
      </c>
      <c r="D19" s="125" t="s">
        <v>127</v>
      </c>
      <c r="E19" s="125" t="s">
        <v>9</v>
      </c>
      <c r="F19" s="125" t="s">
        <v>90</v>
      </c>
      <c r="G19" s="125" t="s">
        <v>2</v>
      </c>
      <c r="H19" s="125" t="s">
        <v>90</v>
      </c>
      <c r="I19" s="126" t="s">
        <v>90</v>
      </c>
    </row>
    <row r="20" spans="1:9" ht="15.75" thickBot="1">
      <c r="A20" s="22" t="s">
        <v>120</v>
      </c>
      <c r="B20" s="124" t="s">
        <v>91</v>
      </c>
      <c r="C20" s="125" t="s">
        <v>90</v>
      </c>
      <c r="D20" s="125" t="s">
        <v>90</v>
      </c>
      <c r="E20" s="125" t="s">
        <v>91</v>
      </c>
      <c r="F20" s="125" t="s">
        <v>9</v>
      </c>
      <c r="G20" s="125" t="s">
        <v>19</v>
      </c>
      <c r="H20" s="125" t="s">
        <v>126</v>
      </c>
      <c r="I20" s="126" t="s">
        <v>19</v>
      </c>
    </row>
    <row r="21" spans="1:9" ht="15.75" thickBot="1">
      <c r="A21" s="83" t="s">
        <v>121</v>
      </c>
      <c r="B21" s="125" t="s">
        <v>2</v>
      </c>
      <c r="C21" s="125" t="s">
        <v>90</v>
      </c>
      <c r="D21" s="125" t="s">
        <v>2</v>
      </c>
      <c r="E21" s="125" t="s">
        <v>2</v>
      </c>
      <c r="F21" s="125" t="s">
        <v>20</v>
      </c>
      <c r="G21" s="125" t="s">
        <v>9</v>
      </c>
      <c r="H21" s="125" t="s">
        <v>126</v>
      </c>
      <c r="I21" s="125" t="s">
        <v>19</v>
      </c>
    </row>
    <row r="22" spans="1:9" ht="15.75" thickBot="1">
      <c r="A22" s="83" t="s">
        <v>122</v>
      </c>
      <c r="B22" s="125" t="s">
        <v>90</v>
      </c>
      <c r="C22" s="125" t="s">
        <v>90</v>
      </c>
      <c r="D22" s="125" t="s">
        <v>90</v>
      </c>
      <c r="E22" s="125" t="s">
        <v>91</v>
      </c>
      <c r="F22" s="125" t="s">
        <v>127</v>
      </c>
      <c r="G22" s="125" t="s">
        <v>127</v>
      </c>
      <c r="H22" s="125" t="s">
        <v>9</v>
      </c>
      <c r="I22" s="125" t="s">
        <v>127</v>
      </c>
    </row>
    <row r="23" spans="1:9" s="76" customFormat="1" ht="15.75" thickBot="1">
      <c r="A23" s="75" t="s">
        <v>123</v>
      </c>
      <c r="B23" s="114" t="s">
        <v>2</v>
      </c>
      <c r="C23" s="109" t="s">
        <v>91</v>
      </c>
      <c r="D23" s="109" t="s">
        <v>90</v>
      </c>
      <c r="E23" s="109" t="s">
        <v>91</v>
      </c>
      <c r="F23" s="109" t="s">
        <v>20</v>
      </c>
      <c r="G23" s="109" t="s">
        <v>20</v>
      </c>
      <c r="H23" s="109" t="s">
        <v>126</v>
      </c>
      <c r="I23" s="107" t="s">
        <v>9</v>
      </c>
    </row>
  </sheetData>
  <sortState ref="B5:F12">
    <sortCondition descending="1" ref="C5:C12"/>
    <sortCondition descending="1" ref="F5:F12"/>
  </sortState>
  <mergeCells count="3">
    <mergeCell ref="B2:E2"/>
    <mergeCell ref="D14:E14"/>
    <mergeCell ref="J3:K3"/>
  </mergeCells>
  <pageMargins left="0.13" right="0.13" top="0.75" bottom="0.75" header="0.3" footer="0.3"/>
  <pageSetup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M26"/>
  <sheetViews>
    <sheetView workbookViewId="0">
      <selection activeCell="C4" sqref="C4"/>
    </sheetView>
  </sheetViews>
  <sheetFormatPr defaultRowHeight="15"/>
  <cols>
    <col min="1" max="1" width="22.5703125" style="1" customWidth="1"/>
    <col min="2" max="2" width="23.28515625" style="1" customWidth="1"/>
    <col min="3" max="3" width="12.42578125" style="1" customWidth="1"/>
    <col min="4" max="4" width="11.28515625" style="1" customWidth="1"/>
    <col min="5" max="5" width="11" style="1" bestFit="1" customWidth="1"/>
    <col min="6" max="7" width="11.28515625" style="1" customWidth="1"/>
    <col min="8" max="8" width="12.85546875" style="1" customWidth="1"/>
    <col min="9" max="9" width="12.42578125" style="1" bestFit="1" customWidth="1"/>
    <col min="10" max="10" width="17.7109375" style="1" bestFit="1" customWidth="1"/>
    <col min="11" max="11" width="19.5703125" style="1" bestFit="1" customWidth="1"/>
    <col min="12" max="13" width="11.140625" style="19" customWidth="1"/>
    <col min="14" max="16384" width="9.140625" style="1"/>
  </cols>
  <sheetData>
    <row r="2" spans="1:13" s="19" customFormat="1">
      <c r="A2" s="21"/>
      <c r="B2" s="132" t="s">
        <v>11</v>
      </c>
      <c r="C2" s="132"/>
      <c r="D2" s="132"/>
      <c r="E2" s="132"/>
    </row>
    <row r="3" spans="1:13" s="19" customFormat="1" ht="15.75" thickBot="1">
      <c r="A3" s="21"/>
      <c r="C3" s="27" t="s">
        <v>144</v>
      </c>
    </row>
    <row r="4" spans="1:13" s="21" customFormat="1" ht="15.75" thickBot="1">
      <c r="A4" s="9" t="s">
        <v>0</v>
      </c>
      <c r="B4" s="24" t="s">
        <v>1</v>
      </c>
      <c r="C4" s="9" t="s">
        <v>5</v>
      </c>
      <c r="D4" s="9" t="s">
        <v>6</v>
      </c>
      <c r="E4" s="9" t="s">
        <v>4</v>
      </c>
      <c r="F4" s="9" t="s">
        <v>3</v>
      </c>
      <c r="I4" s="78" t="s">
        <v>88</v>
      </c>
      <c r="J4" s="78" t="s">
        <v>89</v>
      </c>
      <c r="K4" s="77" t="s">
        <v>1</v>
      </c>
    </row>
    <row r="5" spans="1:13" s="19" customFormat="1" ht="15.75" thickBot="1">
      <c r="A5" s="33">
        <v>1</v>
      </c>
      <c r="B5" s="17" t="s">
        <v>98</v>
      </c>
      <c r="C5" s="7">
        <f>2+2+6+1+2+3+1</f>
        <v>17</v>
      </c>
      <c r="D5" s="12">
        <f>1+1+0+2+1+0+2</f>
        <v>7</v>
      </c>
      <c r="E5" s="38">
        <f t="shared" ref="E5:E12" si="0">C5/SUM(C5:D5)</f>
        <v>0.70833333333333337</v>
      </c>
      <c r="F5" s="13">
        <f>21+21+21+14+21+21+21+10+21+21+21+21+15+21+21+21+14+22</f>
        <v>348</v>
      </c>
      <c r="I5" s="40">
        <v>1</v>
      </c>
      <c r="J5" s="41" t="s">
        <v>74</v>
      </c>
      <c r="K5" s="41" t="s">
        <v>75</v>
      </c>
    </row>
    <row r="6" spans="1:13" s="19" customFormat="1" ht="15" customHeight="1" thickBot="1">
      <c r="A6" s="34">
        <v>2</v>
      </c>
      <c r="B6" s="17" t="s">
        <v>97</v>
      </c>
      <c r="C6" s="7">
        <f>3+1+3+2+2+3+1</f>
        <v>15</v>
      </c>
      <c r="D6" s="12">
        <f>3+2+0+1+1+0+2</f>
        <v>9</v>
      </c>
      <c r="E6" s="38">
        <f t="shared" si="0"/>
        <v>0.625</v>
      </c>
      <c r="F6" s="13">
        <f>14+21+21+21+21+21+18+21+17+21+21+18+14+21+19+23+21+21</f>
        <v>354</v>
      </c>
      <c r="I6" s="42">
        <v>2</v>
      </c>
      <c r="J6" s="58" t="s">
        <v>76</v>
      </c>
      <c r="K6" s="58" t="s">
        <v>14</v>
      </c>
    </row>
    <row r="7" spans="1:13" s="19" customFormat="1" ht="15.75" thickBot="1">
      <c r="A7" s="34">
        <v>3</v>
      </c>
      <c r="B7" s="17" t="s">
        <v>96</v>
      </c>
      <c r="C7" s="7">
        <f>3+1+3+3+3+1+0</f>
        <v>14</v>
      </c>
      <c r="D7" s="12">
        <f>3+2+0+0+0+2+3</f>
        <v>10</v>
      </c>
      <c r="E7" s="38">
        <f t="shared" si="0"/>
        <v>0.58333333333333337</v>
      </c>
      <c r="F7" s="13">
        <f>21+18+16+21+17+14+21+21+22+21+21+21+12+21+13+12+8+15</f>
        <v>315</v>
      </c>
      <c r="I7" s="42">
        <v>3</v>
      </c>
      <c r="J7" s="43" t="s">
        <v>77</v>
      </c>
      <c r="K7" s="43" t="s">
        <v>78</v>
      </c>
    </row>
    <row r="8" spans="1:13" s="19" customFormat="1" ht="15.75" customHeight="1" thickBot="1">
      <c r="A8" s="34">
        <v>4</v>
      </c>
      <c r="B8" s="17" t="s">
        <v>101</v>
      </c>
      <c r="C8" s="45">
        <f>0+1+1+3+5+3</f>
        <v>13</v>
      </c>
      <c r="D8" s="46">
        <f>3+2+2+0+1+0</f>
        <v>8</v>
      </c>
      <c r="E8" s="47">
        <f t="shared" si="0"/>
        <v>0.61904761904761907</v>
      </c>
      <c r="F8" s="48">
        <f>21+21+21+21+21+21+18+16+21+21+18+15+21+21+21</f>
        <v>298</v>
      </c>
      <c r="I8" s="42">
        <v>4</v>
      </c>
      <c r="J8" s="43" t="s">
        <v>79</v>
      </c>
      <c r="K8" s="43" t="s">
        <v>80</v>
      </c>
    </row>
    <row r="9" spans="1:13" s="19" customFormat="1" ht="15.75" customHeight="1" thickBot="1">
      <c r="A9" s="44">
        <v>5</v>
      </c>
      <c r="B9" s="17" t="s">
        <v>103</v>
      </c>
      <c r="C9" s="67">
        <f>3+2+2+1+0+3</f>
        <v>11</v>
      </c>
      <c r="D9" s="68">
        <f>0+1+1+2+3+0</f>
        <v>7</v>
      </c>
      <c r="E9" s="69">
        <f t="shared" si="0"/>
        <v>0.61111111111111116</v>
      </c>
      <c r="F9" s="70">
        <f>19+10+11+19+13+21+21+17+21+21+21+21</f>
        <v>215</v>
      </c>
      <c r="I9" s="42">
        <v>5</v>
      </c>
      <c r="J9" s="43" t="s">
        <v>81</v>
      </c>
      <c r="K9" s="43" t="s">
        <v>82</v>
      </c>
    </row>
    <row r="10" spans="1:13" s="19" customFormat="1" ht="15.75" thickBot="1">
      <c r="A10" s="44">
        <v>6</v>
      </c>
      <c r="B10" s="17" t="s">
        <v>99</v>
      </c>
      <c r="C10" s="7">
        <f>0+0+0+3+0+3+2</f>
        <v>8</v>
      </c>
      <c r="D10" s="12">
        <f>3+3+6+0+3+0+1</f>
        <v>16</v>
      </c>
      <c r="E10" s="38">
        <f t="shared" si="0"/>
        <v>0.33333333333333331</v>
      </c>
      <c r="F10" s="13">
        <f>8+12+8+12+8+15+4+10+20+21+13+16+17+20+14+14+18+15</f>
        <v>245</v>
      </c>
      <c r="I10" s="42">
        <v>6</v>
      </c>
      <c r="J10" s="43" t="s">
        <v>83</v>
      </c>
      <c r="K10" s="43" t="s">
        <v>84</v>
      </c>
    </row>
    <row r="11" spans="1:13" s="19" customFormat="1" ht="15.75" customHeight="1" thickBot="1">
      <c r="A11" s="44">
        <v>7</v>
      </c>
      <c r="B11" s="17" t="s">
        <v>100</v>
      </c>
      <c r="C11" s="45">
        <f>0+1+2+0+1+0+3</f>
        <v>7</v>
      </c>
      <c r="D11" s="46">
        <f>3+2+1+3+5+3+0</f>
        <v>17</v>
      </c>
      <c r="E11" s="47">
        <f t="shared" si="0"/>
        <v>0.29166666666666669</v>
      </c>
      <c r="F11" s="48">
        <f>18+18+8+14+18+12+21+21+21+11+11+19+21+21+21+19+21+23</f>
        <v>318</v>
      </c>
      <c r="I11" s="40">
        <v>7</v>
      </c>
      <c r="J11" s="43" t="s">
        <v>85</v>
      </c>
      <c r="K11" s="43" t="s">
        <v>86</v>
      </c>
    </row>
    <row r="12" spans="1:13" s="19" customFormat="1" ht="15.75" thickBot="1">
      <c r="A12" s="56">
        <v>8</v>
      </c>
      <c r="B12" s="17" t="s">
        <v>102</v>
      </c>
      <c r="C12" s="72">
        <f>2+0+0+0+3+0+0</f>
        <v>5</v>
      </c>
      <c r="D12" s="50">
        <f>1+3+3+3+0+3+3</f>
        <v>16</v>
      </c>
      <c r="E12" s="73">
        <f t="shared" si="0"/>
        <v>0.23809523809523808</v>
      </c>
      <c r="F12" s="74">
        <f>21+21+21+17+18+16+14+12+11+21+14+21+22+17+18</f>
        <v>264</v>
      </c>
      <c r="I12" s="42">
        <v>8</v>
      </c>
      <c r="J12" s="43" t="s">
        <v>87</v>
      </c>
      <c r="K12" s="43" t="s">
        <v>92</v>
      </c>
    </row>
    <row r="13" spans="1:13" s="19" customFormat="1">
      <c r="A13" s="16"/>
      <c r="B13" s="20"/>
      <c r="E13" s="15"/>
      <c r="F13" s="23"/>
    </row>
    <row r="14" spans="1:13" s="19" customFormat="1" ht="30.75" customHeight="1" thickBot="1">
      <c r="D14" s="134" t="s">
        <v>7</v>
      </c>
      <c r="E14" s="134"/>
    </row>
    <row r="15" spans="1:13" s="26" customFormat="1" ht="45.75" thickBot="1">
      <c r="A15" s="25"/>
      <c r="B15" s="18" t="s">
        <v>96</v>
      </c>
      <c r="C15" s="18" t="s">
        <v>97</v>
      </c>
      <c r="D15" s="18" t="s">
        <v>98</v>
      </c>
      <c r="E15" s="18" t="s">
        <v>99</v>
      </c>
      <c r="F15" s="18" t="s">
        <v>100</v>
      </c>
      <c r="G15" s="18" t="s">
        <v>101</v>
      </c>
      <c r="H15" s="28" t="s">
        <v>102</v>
      </c>
      <c r="I15" s="80" t="s">
        <v>103</v>
      </c>
      <c r="J15" s="25"/>
      <c r="K15" s="25"/>
      <c r="L15" s="25"/>
      <c r="M15" s="25"/>
    </row>
    <row r="16" spans="1:13" s="19" customFormat="1" ht="15.75" thickBot="1">
      <c r="A16" s="17" t="s">
        <v>96</v>
      </c>
      <c r="B16" s="110" t="s">
        <v>9</v>
      </c>
      <c r="C16" s="103" t="s">
        <v>124</v>
      </c>
      <c r="D16" s="103" t="s">
        <v>18</v>
      </c>
      <c r="E16" s="103" t="s">
        <v>15</v>
      </c>
      <c r="F16" s="103" t="s">
        <v>15</v>
      </c>
      <c r="G16" s="103" t="s">
        <v>15</v>
      </c>
      <c r="H16" s="111" t="s">
        <v>18</v>
      </c>
      <c r="I16" s="103" t="s">
        <v>16</v>
      </c>
      <c r="J16" s="79"/>
      <c r="K16" s="79"/>
      <c r="L16" s="79"/>
      <c r="M16" s="79"/>
    </row>
    <row r="17" spans="1:13" s="19" customFormat="1" ht="15.75" thickBot="1">
      <c r="A17" s="17" t="s">
        <v>97</v>
      </c>
      <c r="B17" s="110" t="s">
        <v>124</v>
      </c>
      <c r="C17" s="103" t="s">
        <v>9</v>
      </c>
      <c r="D17" s="103" t="s">
        <v>18</v>
      </c>
      <c r="E17" s="103" t="s">
        <v>15</v>
      </c>
      <c r="F17" s="103" t="s">
        <v>17</v>
      </c>
      <c r="G17" s="103" t="s">
        <v>17</v>
      </c>
      <c r="H17" s="111" t="s">
        <v>15</v>
      </c>
      <c r="I17" s="103" t="s">
        <v>18</v>
      </c>
      <c r="J17" s="79"/>
      <c r="K17" s="79"/>
      <c r="L17" s="79"/>
      <c r="M17" s="79"/>
    </row>
    <row r="18" spans="1:13" s="19" customFormat="1" ht="15.75" thickBot="1">
      <c r="A18" s="17" t="s">
        <v>98</v>
      </c>
      <c r="B18" s="110" t="s">
        <v>17</v>
      </c>
      <c r="C18" s="103" t="s">
        <v>17</v>
      </c>
      <c r="D18" s="103" t="s">
        <v>9</v>
      </c>
      <c r="E18" s="103" t="s">
        <v>135</v>
      </c>
      <c r="F18" s="103" t="s">
        <v>18</v>
      </c>
      <c r="G18" s="103" t="s">
        <v>17</v>
      </c>
      <c r="H18" s="111" t="s">
        <v>15</v>
      </c>
      <c r="I18" s="103" t="s">
        <v>18</v>
      </c>
      <c r="J18" s="79"/>
      <c r="K18" s="79"/>
      <c r="L18" s="79"/>
      <c r="M18" s="79"/>
    </row>
    <row r="19" spans="1:13" s="19" customFormat="1" ht="15.75" thickBot="1">
      <c r="A19" s="17" t="s">
        <v>99</v>
      </c>
      <c r="B19" s="110" t="s">
        <v>16</v>
      </c>
      <c r="C19" s="103" t="s">
        <v>16</v>
      </c>
      <c r="D19" s="103" t="s">
        <v>136</v>
      </c>
      <c r="E19" s="103" t="s">
        <v>9</v>
      </c>
      <c r="F19" s="103" t="s">
        <v>15</v>
      </c>
      <c r="G19" s="103" t="s">
        <v>16</v>
      </c>
      <c r="H19" s="111" t="s">
        <v>15</v>
      </c>
      <c r="I19" s="103" t="s">
        <v>17</v>
      </c>
      <c r="J19" s="79"/>
      <c r="K19" s="79"/>
      <c r="L19" s="79"/>
      <c r="M19" s="79"/>
    </row>
    <row r="20" spans="1:13" s="19" customFormat="1" ht="15.75" thickBot="1">
      <c r="A20" s="17" t="s">
        <v>100</v>
      </c>
      <c r="B20" s="110" t="s">
        <v>16</v>
      </c>
      <c r="C20" s="103" t="s">
        <v>18</v>
      </c>
      <c r="D20" s="103" t="s">
        <v>17</v>
      </c>
      <c r="E20" s="103" t="s">
        <v>16</v>
      </c>
      <c r="F20" s="103" t="s">
        <v>9</v>
      </c>
      <c r="G20" s="103" t="s">
        <v>137</v>
      </c>
      <c r="H20" s="111" t="s">
        <v>16</v>
      </c>
      <c r="I20" s="103" t="s">
        <v>15</v>
      </c>
      <c r="J20" s="79"/>
      <c r="K20" s="79"/>
      <c r="L20" s="79"/>
      <c r="M20" s="79"/>
    </row>
    <row r="21" spans="1:13" s="19" customFormat="1" ht="15.75" thickBot="1">
      <c r="A21" s="17" t="s">
        <v>101</v>
      </c>
      <c r="B21" s="110" t="s">
        <v>16</v>
      </c>
      <c r="C21" s="103" t="s">
        <v>18</v>
      </c>
      <c r="D21" s="103" t="s">
        <v>18</v>
      </c>
      <c r="E21" s="103" t="s">
        <v>15</v>
      </c>
      <c r="F21" s="103" t="s">
        <v>138</v>
      </c>
      <c r="G21" s="103" t="s">
        <v>9</v>
      </c>
      <c r="H21" s="111" t="s">
        <v>15</v>
      </c>
      <c r="I21" s="120"/>
      <c r="J21" s="79"/>
      <c r="K21" s="79"/>
      <c r="L21" s="79"/>
      <c r="M21" s="79"/>
    </row>
    <row r="22" spans="1:13" s="19" customFormat="1" ht="15.75" customHeight="1" thickBot="1">
      <c r="A22" s="17" t="s">
        <v>102</v>
      </c>
      <c r="B22" s="110" t="s">
        <v>17</v>
      </c>
      <c r="C22" s="103" t="s">
        <v>16</v>
      </c>
      <c r="D22" s="103" t="s">
        <v>16</v>
      </c>
      <c r="E22" s="103" t="s">
        <v>16</v>
      </c>
      <c r="F22" s="103" t="s">
        <v>15</v>
      </c>
      <c r="G22" s="103" t="s">
        <v>16</v>
      </c>
      <c r="H22" s="111" t="s">
        <v>9</v>
      </c>
      <c r="I22" s="127" t="s">
        <v>16</v>
      </c>
      <c r="J22" s="79"/>
      <c r="K22" s="79"/>
      <c r="L22" s="79"/>
      <c r="M22" s="79"/>
    </row>
    <row r="23" spans="1:13" s="19" customFormat="1" ht="15.75" thickBot="1">
      <c r="A23" s="17" t="s">
        <v>103</v>
      </c>
      <c r="B23" s="110" t="s">
        <v>15</v>
      </c>
      <c r="C23" s="103" t="s">
        <v>17</v>
      </c>
      <c r="D23" s="103" t="s">
        <v>17</v>
      </c>
      <c r="E23" s="103" t="s">
        <v>18</v>
      </c>
      <c r="F23" s="103" t="s">
        <v>16</v>
      </c>
      <c r="G23" s="120"/>
      <c r="H23" s="128" t="s">
        <v>15</v>
      </c>
      <c r="I23" s="103" t="s">
        <v>9</v>
      </c>
      <c r="J23" s="79"/>
      <c r="K23" s="79"/>
      <c r="L23" s="79"/>
      <c r="M23" s="79"/>
    </row>
    <row r="25" spans="1:13">
      <c r="A25" s="121" t="s">
        <v>93</v>
      </c>
      <c r="B25" s="121"/>
      <c r="C25" s="121"/>
      <c r="D25" s="121"/>
    </row>
    <row r="26" spans="1:13">
      <c r="A26" s="121" t="s">
        <v>94</v>
      </c>
      <c r="B26" s="121"/>
      <c r="C26" s="121"/>
      <c r="D26" s="121"/>
    </row>
  </sheetData>
  <sortState ref="B5:F12">
    <sortCondition descending="1" ref="C5:C12"/>
    <sortCondition descending="1" ref="F5:F12"/>
  </sortState>
  <mergeCells count="2">
    <mergeCell ref="B2:E2"/>
    <mergeCell ref="D14:E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Men Doubles</vt:lpstr>
      <vt:lpstr>Women Doubles</vt:lpstr>
      <vt:lpstr>Doubles Co-ed</vt:lpstr>
      <vt:lpstr>Triples Co-ed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pdickey</dc:creator>
  <cp:lastModifiedBy>Kristin</cp:lastModifiedBy>
  <cp:lastPrinted>2012-06-18T22:46:17Z</cp:lastPrinted>
  <dcterms:created xsi:type="dcterms:W3CDTF">2009-05-05T16:33:19Z</dcterms:created>
  <dcterms:modified xsi:type="dcterms:W3CDTF">2012-07-10T18:05:03Z</dcterms:modified>
</cp:coreProperties>
</file>